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880"/>
  </bookViews>
  <sheets>
    <sheet name="2023年核实发电量明细表" sheetId="1" r:id="rId1"/>
  </sheets>
  <definedNames>
    <definedName name="_xlnm._FilterDatabase" localSheetId="0" hidden="1">'2023年核实发电量明细表'!$A$3:$Z$29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<sst xmlns="http://schemas.openxmlformats.org/spreadsheetml/2006/main" count="206" uniqueCount="121">
  <si>
    <t>附件3</t>
  </si>
  <si>
    <t>2023年度合肥市光伏电站市级度电补贴统计表</t>
  </si>
  <si>
    <t>序号</t>
  </si>
  <si>
    <t>电站目录号</t>
  </si>
  <si>
    <t>项目名称（企业或个人）</t>
  </si>
  <si>
    <t>投资主体</t>
  </si>
  <si>
    <t>建设地点</t>
  </si>
  <si>
    <t>装机规模
（MW）</t>
  </si>
  <si>
    <t>供电公司
发电号</t>
  </si>
  <si>
    <t>并网时间</t>
  </si>
  <si>
    <t>期限</t>
  </si>
  <si>
    <t>到期时间</t>
  </si>
  <si>
    <t>奖补标准
(元/kwh)</t>
  </si>
  <si>
    <t>2023年度
表显发电量
（kw.h）</t>
  </si>
  <si>
    <t>2023年度认可
的上限发电量
（kw.h）</t>
  </si>
  <si>
    <t>按衰减1%/年测算2023年拟兑现电量（kw.h）</t>
  </si>
  <si>
    <t>需找补电量</t>
  </si>
  <si>
    <t>2023年度
应奖补金额
（元）</t>
  </si>
  <si>
    <t>重新核实2023年发电量</t>
  </si>
  <si>
    <t>核减指数
（%）</t>
  </si>
  <si>
    <t>按衰减1%/年测算2023年应补发电量（kw.h）</t>
  </si>
  <si>
    <t>重新核实2023年度应奖补金额
（元）</t>
  </si>
  <si>
    <t>重新核实奖补金额-原奖补金额（元）</t>
  </si>
  <si>
    <t>区县</t>
  </si>
  <si>
    <t>批次</t>
  </si>
  <si>
    <t>企业或个人</t>
  </si>
  <si>
    <t>备注</t>
  </si>
  <si>
    <t>311506D3007</t>
  </si>
  <si>
    <t>英特尔电力60KW分布式光伏发电项目</t>
  </si>
  <si>
    <t>合肥英特电力设备有限公司</t>
  </si>
  <si>
    <t>合肥市高新区机电产业园杨林路西合肥英特电力设备有限公司C楼屋顶</t>
  </si>
  <si>
    <t>高新区</t>
  </si>
  <si>
    <t>第一批</t>
  </si>
  <si>
    <t>企业</t>
  </si>
  <si>
    <t>311712B2007</t>
  </si>
  <si>
    <t>合肥英特电力设备有限公司59.4KW分布式光伏发电项目</t>
  </si>
  <si>
    <t>高新区杨林路合肥英特电力设备有限公司B楼屋顶</t>
  </si>
  <si>
    <t>第二批</t>
  </si>
  <si>
    <t>311712B2008</t>
  </si>
  <si>
    <t>合肥英特电力设备有限公司223.89KW分布式光伏发电项目</t>
  </si>
  <si>
    <t>高新区杨林路合肥英特电力设备有限公司D楼屋顶</t>
  </si>
  <si>
    <t>241711B1564</t>
  </si>
  <si>
    <t>张林(莫申秀）</t>
  </si>
  <si>
    <t>庐江县金牛镇健康村林庄自然村3号</t>
  </si>
  <si>
    <t>庐江县</t>
  </si>
  <si>
    <t>个人</t>
  </si>
  <si>
    <t>241711B1085</t>
  </si>
  <si>
    <t>莫申秀</t>
  </si>
  <si>
    <t>庐江县金牛镇铺岗村路南自然村6号</t>
  </si>
  <si>
    <t>241712B1386</t>
  </si>
  <si>
    <t>韦留鸿</t>
  </si>
  <si>
    <t>庐江县金牛镇古城社区金张路金盾巷</t>
  </si>
  <si>
    <t>241712B11379</t>
  </si>
  <si>
    <t>庐江县金牛镇圩坝村戚南自然村</t>
  </si>
  <si>
    <t>241712B1288</t>
  </si>
  <si>
    <t>夏仕林</t>
  </si>
  <si>
    <t>夏仕林（刘凡）</t>
  </si>
  <si>
    <t>庐江县盛桥镇七里村</t>
  </si>
  <si>
    <t>241712B1431</t>
  </si>
  <si>
    <t>刘凡</t>
  </si>
  <si>
    <t>庐江县盛桥镇沈家桥社区郭田村民组</t>
  </si>
  <si>
    <t>241712B1284</t>
  </si>
  <si>
    <t>方凤枝</t>
  </si>
  <si>
    <t>方凤枝(高鹏飞）</t>
  </si>
  <si>
    <t>庐江县盛桥镇河北社区薛家村民组11号</t>
  </si>
  <si>
    <t>241712B11387</t>
  </si>
  <si>
    <t>高鹏飞</t>
  </si>
  <si>
    <t>庐江县盛桥镇沈家桥社区潘田村</t>
  </si>
  <si>
    <t>241712B1467</t>
  </si>
  <si>
    <t>王增银（林元亮）</t>
  </si>
  <si>
    <t>庐江县石头镇邱岗村坟庄村民组20号</t>
  </si>
  <si>
    <t>241712B1132</t>
  </si>
  <si>
    <t>林元亮</t>
  </si>
  <si>
    <t>庐江县石头镇邱岗村坟庄村民组11号</t>
  </si>
  <si>
    <t>241712B1285</t>
  </si>
  <si>
    <t>薛峰</t>
  </si>
  <si>
    <t>薛峰（盛文俊）</t>
  </si>
  <si>
    <t>庐江县盛桥镇沈家桥社区薛家村民组3号</t>
  </si>
  <si>
    <t>241712B1432</t>
  </si>
  <si>
    <t>盛文俊</t>
  </si>
  <si>
    <t>庐江县盛桥镇金城村孙河村民组</t>
  </si>
  <si>
    <t>241712B1295</t>
  </si>
  <si>
    <t>符义保</t>
  </si>
  <si>
    <t>符义保（丁祖超）</t>
  </si>
  <si>
    <t>庐江县盛桥镇陡岗村燕窝村民组</t>
  </si>
  <si>
    <t>241712B11385</t>
  </si>
  <si>
    <t>丁祖超</t>
  </si>
  <si>
    <t>庐江县盛桥镇东岳村大丁村民组</t>
  </si>
  <si>
    <t>241712B1349</t>
  </si>
  <si>
    <t>李永生</t>
  </si>
  <si>
    <t>庐江县石头镇邱岗村牌坊村民组</t>
  </si>
  <si>
    <t>241806B1153</t>
  </si>
  <si>
    <t>庐江县白湖镇梅山村山高村民组</t>
  </si>
  <si>
    <t>第三批</t>
  </si>
  <si>
    <t>311504D3002</t>
  </si>
  <si>
    <t>安得物流屋顶光伏发电项目</t>
  </si>
  <si>
    <t>合肥苏美达阳光发电有限公司</t>
  </si>
  <si>
    <t>合肥市高新区柏堰科技园石楠路2号</t>
  </si>
  <si>
    <t>221706B2003</t>
  </si>
  <si>
    <t>合肥鹏华新能源科技有限公司</t>
  </si>
  <si>
    <t>肥东县撮镇镇王沟路与新华路交口迅捷物流园内</t>
  </si>
  <si>
    <t>3400104505107</t>
  </si>
  <si>
    <t>肥东县</t>
  </si>
  <si>
    <t>221709B2019</t>
  </si>
  <si>
    <t>肥东县白龙镇20MW光伏发电项目</t>
  </si>
  <si>
    <t>肥东电科光伏发电有限公司</t>
  </si>
  <si>
    <t>肥东白龙镇肖凤水库</t>
  </si>
  <si>
    <t>3400104586707</t>
  </si>
  <si>
    <t>211603A2014</t>
  </si>
  <si>
    <t>长丰县红旗水库分布式光伏发电项目</t>
  </si>
  <si>
    <t>长丰日盛新能源发电有限公司</t>
  </si>
  <si>
    <t>长丰县下塘镇红旗水库南侧</t>
  </si>
  <si>
    <t>3400105026876</t>
  </si>
  <si>
    <t>长丰县</t>
  </si>
  <si>
    <t>231802B1269</t>
  </si>
  <si>
    <t>张程</t>
  </si>
  <si>
    <t>紫蓬镇农兴街道</t>
  </si>
  <si>
    <t>肥西县</t>
  </si>
  <si>
    <t>231802B1120</t>
  </si>
  <si>
    <t>肥西县紫蓬镇农兴街道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</si>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</sst>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yyyy&quot;年&quot;m&quot;月&quot;d&quot;日&quot;;@"/>
    <numFmt numFmtId="178" formatCode="_ * #,##0.0000_ ;_ * \-#,##0.0000_ ;_ * &quot;-&quot;??_ ;_ @_ "/>
    <numFmt numFmtId="179" formatCode="0.00_);[Red]\(0.00\)"/>
    <numFmt numFmtId="180" formatCode="#,##0.00_ "/>
    <numFmt numFmtId="181" formatCode="#,##0_ ;[Red]\-#,##0\ "/>
  </numFmts>
  <fonts count="26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5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shrinkToFit="1"/>
    </xf>
    <xf numFmtId="0" fontId="0" fillId="0" borderId="1" xfId="49" applyFont="1" applyFill="1" applyBorder="1" applyAlignment="1">
      <alignment vertical="center" wrapText="1" shrinkToFit="1"/>
    </xf>
    <xf numFmtId="0" fontId="4" fillId="0" borderId="1" xfId="49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14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14" fontId="4" fillId="0" borderId="1" xfId="49" applyNumberFormat="1" applyFont="1" applyFill="1" applyBorder="1" applyAlignment="1">
      <alignment horizontal="center" vertical="center"/>
    </xf>
    <xf numFmtId="178" fontId="0" fillId="0" borderId="1" xfId="1" applyNumberFormat="1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9" fontId="3" fillId="0" borderId="1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80" fontId="3" fillId="0" borderId="1" xfId="49" applyNumberFormat="1" applyFont="1" applyFill="1" applyBorder="1" applyAlignment="1">
      <alignment horizontal="center" vertical="center"/>
    </xf>
    <xf numFmtId="180" fontId="2" fillId="0" borderId="1" xfId="1" applyNumberFormat="1" applyFont="1" applyFill="1" applyBorder="1" applyAlignment="1">
      <alignment horizontal="center" vertical="center" wrapText="1"/>
    </xf>
    <xf numFmtId="181" fontId="0" fillId="0" borderId="1" xfId="1" applyNumberFormat="1" applyFont="1" applyFill="1" applyBorder="1" applyAlignment="1">
      <alignment horizontal="center" vertical="center"/>
    </xf>
    <xf numFmtId="181" fontId="4" fillId="0" borderId="1" xfId="1" applyNumberFormat="1" applyFont="1" applyFill="1" applyBorder="1" applyAlignment="1">
      <alignment horizontal="center" vertical="center"/>
    </xf>
    <xf numFmtId="180" fontId="0" fillId="0" borderId="1" xfId="1" applyNumberFormat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43" fontId="0" fillId="0" borderId="1" xfId="49" applyNumberFormat="1" applyFont="1" applyFill="1" applyBorder="1" applyAlignment="1">
      <alignment horizontal="left" vertical="center" wrapText="1"/>
    </xf>
    <xf numFmtId="43" fontId="0" fillId="0" borderId="1" xfId="49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vertical="center" wrapText="1"/>
    </xf>
    <xf numFmtId="181" fontId="4" fillId="0" borderId="1" xfId="1" applyNumberFormat="1" applyFont="1" applyFill="1" applyBorder="1" applyAlignment="1">
      <alignment horizontal="left" vertical="center" wrapText="1"/>
    </xf>
    <xf numFmtId="43" fontId="0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0" fillId="0" borderId="1" xfId="1" applyNumberFormat="1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zoomScale="55" zoomScaleNormal="55" workbookViewId="0">
      <pane ySplit="3" topLeftCell="A4" activePane="bottomLeft" state="frozen"/>
      <selection/>
      <selection pane="bottomLeft" activeCell="J5" sqref="J5"/>
    </sheetView>
  </sheetViews>
  <sheetFormatPr defaultColWidth="8.66666666666667" defaultRowHeight="14.25"/>
  <cols>
    <col min="1" max="1" width="5.8" style="1" customWidth="1"/>
    <col min="2" max="2" width="13.8333333333333" style="1" customWidth="1"/>
    <col min="3" max="3" width="26.3" style="1" customWidth="1"/>
    <col min="4" max="4" width="14.5166666666667" style="1" customWidth="1"/>
    <col min="5" max="5" width="27.0833333333333" style="5" customWidth="1"/>
    <col min="6" max="6" width="12.75" style="6"/>
    <col min="7" max="7" width="17.25" style="1" customWidth="1"/>
    <col min="8" max="8" width="11.6666666666667" style="1"/>
    <col min="9" max="9" width="7.41666666666667" style="1" customWidth="1"/>
    <col min="10" max="10" width="10.5" style="1" customWidth="1"/>
    <col min="11" max="11" width="8.08333333333333" style="1" customWidth="1"/>
    <col min="12" max="12" width="17.275" style="7" customWidth="1"/>
    <col min="13" max="13" width="20.45" style="3" customWidth="1"/>
    <col min="14" max="14" width="12.3333333333333" style="7" customWidth="1"/>
    <col min="15" max="15" width="7.56666666666667" style="3" customWidth="1"/>
    <col min="16" max="16" width="15.45" style="7" customWidth="1"/>
    <col min="17" max="17" width="16.0833333333333" style="7" customWidth="1"/>
    <col min="18" max="18" width="10.7083333333333" style="7" customWidth="1"/>
    <col min="19" max="19" width="15.2333333333333" style="7" customWidth="1"/>
    <col min="20" max="21" width="16.0833333333333" style="7" customWidth="1"/>
    <col min="22" max="22" width="11.6666666666667" style="1" customWidth="1"/>
    <col min="23" max="23" width="7.41666666666667" style="1" customWidth="1"/>
    <col min="24" max="24" width="10.5416666666667" style="1" customWidth="1"/>
    <col min="25" max="25" width="30.35" style="8" customWidth="1"/>
    <col min="26" max="16384" width="8.66666666666667" style="1"/>
  </cols>
  <sheetData>
    <row r="1" s="1" customFormat="1" ht="30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ht="30" customHeight="1" spans="1:25">
      <c r="A2" s="10" t="s">
        <v>1</v>
      </c>
      <c r="B2" s="10"/>
      <c r="C2" s="11"/>
      <c r="D2" s="12"/>
      <c r="E2" s="12"/>
      <c r="F2" s="19"/>
      <c r="G2" s="11"/>
      <c r="H2" s="11"/>
      <c r="I2" s="32"/>
      <c r="J2" s="11"/>
      <c r="K2" s="11"/>
      <c r="L2" s="33"/>
      <c r="M2" s="11"/>
      <c r="N2" s="33"/>
      <c r="O2" s="42"/>
      <c r="P2" s="33"/>
      <c r="Q2" s="33"/>
      <c r="R2" s="33"/>
      <c r="S2" s="33"/>
      <c r="T2" s="33"/>
      <c r="U2" s="33"/>
      <c r="V2" s="11"/>
      <c r="W2" s="11"/>
      <c r="X2" s="11"/>
      <c r="Y2" s="51"/>
    </row>
    <row r="3" s="3" customFormat="1" ht="57" spans="1:25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20" t="s">
        <v>7</v>
      </c>
      <c r="G3" s="20" t="s">
        <v>8</v>
      </c>
      <c r="H3" s="21" t="s">
        <v>9</v>
      </c>
      <c r="I3" s="34" t="s">
        <v>10</v>
      </c>
      <c r="J3" s="21" t="s">
        <v>11</v>
      </c>
      <c r="K3" s="35" t="s">
        <v>12</v>
      </c>
      <c r="L3" s="36" t="s">
        <v>13</v>
      </c>
      <c r="M3" s="35" t="s">
        <v>14</v>
      </c>
      <c r="N3" s="36" t="s">
        <v>15</v>
      </c>
      <c r="O3" s="43" t="s">
        <v>16</v>
      </c>
      <c r="P3" s="36" t="s">
        <v>17</v>
      </c>
      <c r="Q3" s="36" t="s">
        <v>18</v>
      </c>
      <c r="R3" s="36" t="s">
        <v>19</v>
      </c>
      <c r="S3" s="36" t="s">
        <v>20</v>
      </c>
      <c r="T3" s="36" t="s">
        <v>21</v>
      </c>
      <c r="U3" s="36" t="s">
        <v>22</v>
      </c>
      <c r="V3" s="14" t="s">
        <v>23</v>
      </c>
      <c r="W3" s="14" t="s">
        <v>24</v>
      </c>
      <c r="X3" s="14" t="s">
        <v>25</v>
      </c>
      <c r="Y3" s="35" t="s">
        <v>26</v>
      </c>
    </row>
    <row r="4" s="1" customFormat="1" ht="42.75" spans="1:25">
      <c r="A4" s="15">
        <v>1</v>
      </c>
      <c r="B4" s="15" t="s">
        <v>27</v>
      </c>
      <c r="C4" s="16" t="s">
        <v>28</v>
      </c>
      <c r="D4" s="16" t="s">
        <v>29</v>
      </c>
      <c r="E4" s="16" t="s">
        <v>30</v>
      </c>
      <c r="F4" s="22">
        <v>0.06</v>
      </c>
      <c r="G4" s="23">
        <v>5173870551</v>
      </c>
      <c r="H4" s="24">
        <v>42180</v>
      </c>
      <c r="I4" s="24"/>
      <c r="J4" s="24"/>
      <c r="K4" s="23">
        <v>0.25</v>
      </c>
      <c r="L4" s="37">
        <v>421136</v>
      </c>
      <c r="M4" s="37">
        <f>IF(L4&lt;(F4*1000000),L4,(F4*1000000))</f>
        <v>60000</v>
      </c>
      <c r="N4" s="37">
        <f>ROUND(IF(M4=0,0,M4*(1-(IF(YEAR(H4)=2014,9%,IF(YEAR(H4)=2015,8%,IF(YEAR(H4)=2016,7%,IF(YEAR(H4)=2017,6%,IF(YEAR(H4)=2018,5%,0)))))))),0)</f>
        <v>55200</v>
      </c>
      <c r="O4" s="44"/>
      <c r="P4" s="37">
        <f>ROUND(K4*(N4-O4),0)</f>
        <v>13800</v>
      </c>
      <c r="Q4" s="37">
        <v>73797</v>
      </c>
      <c r="R4" s="49">
        <f>IF(YEAR(H4)=2014,9%,IF(YEAR(H4)=2015,8%,IF(YEAR(H4)=2016,7%,IF(YEAR(H4)=2017,6%,IF(YEAR(H4)=2018,5%)))))</f>
        <v>0.08</v>
      </c>
      <c r="S4" s="37">
        <f>ROUND(((MIN(F4*1000000,Q4))*(1-R4)),0)</f>
        <v>55200</v>
      </c>
      <c r="T4" s="37">
        <f>ROUND(S4*K4,0)</f>
        <v>13800</v>
      </c>
      <c r="U4" s="37">
        <f>T4-P4</f>
        <v>0</v>
      </c>
      <c r="V4" s="23" t="s">
        <v>31</v>
      </c>
      <c r="W4" s="23" t="s">
        <v>32</v>
      </c>
      <c r="X4" s="23" t="s">
        <v>33</v>
      </c>
      <c r="Y4" s="52"/>
    </row>
    <row r="5" s="1" customFormat="1" ht="28.5" spans="1:25">
      <c r="A5" s="15">
        <v>2</v>
      </c>
      <c r="B5" s="15" t="s">
        <v>34</v>
      </c>
      <c r="C5" s="16" t="s">
        <v>35</v>
      </c>
      <c r="D5" s="16" t="s">
        <v>29</v>
      </c>
      <c r="E5" s="16" t="s">
        <v>36</v>
      </c>
      <c r="F5" s="22">
        <v>0.0594</v>
      </c>
      <c r="G5" s="25">
        <v>5173870551</v>
      </c>
      <c r="H5" s="24">
        <v>43097</v>
      </c>
      <c r="I5" s="24"/>
      <c r="J5" s="24"/>
      <c r="K5" s="23">
        <v>0.25</v>
      </c>
      <c r="L5" s="37">
        <v>88581</v>
      </c>
      <c r="M5" s="37">
        <f>IF(L5&lt;(F5*1000000),L5,(F5*1000000))</f>
        <v>59400</v>
      </c>
      <c r="N5" s="37">
        <f>ROUND(IF(M5=0,0,M5*(1-(IF(YEAR(H5)=2014,9%,IF(YEAR(H5)=2015,8%,IF(YEAR(H5)=2016,7%,IF(YEAR(H5)=2017,6%,IF(YEAR(H5)=2018,5%,0)))))))),0)</f>
        <v>55836</v>
      </c>
      <c r="O5" s="44"/>
      <c r="P5" s="37">
        <f>ROUND(K5*(N5-O5),0)</f>
        <v>13959</v>
      </c>
      <c r="Q5" s="37">
        <v>73059</v>
      </c>
      <c r="R5" s="49">
        <f>IF(YEAR(H5)=2014,9%,IF(YEAR(H5)=2015,8%,IF(YEAR(H5)=2016,7%,IF(YEAR(H5)=2017,6%,IF(YEAR(H5)=2018,5%)))))</f>
        <v>0.06</v>
      </c>
      <c r="S5" s="37">
        <f>ROUND(((MIN(F5*1000000,Q5))*(1-R5)),0)</f>
        <v>55836</v>
      </c>
      <c r="T5" s="37">
        <f>ROUND(S5*K5,0)</f>
        <v>13959</v>
      </c>
      <c r="U5" s="37">
        <f>T5-P5</f>
        <v>0</v>
      </c>
      <c r="V5" s="23" t="s">
        <v>31</v>
      </c>
      <c r="W5" s="23" t="s">
        <v>37</v>
      </c>
      <c r="X5" s="23" t="s">
        <v>33</v>
      </c>
      <c r="Y5" s="52"/>
    </row>
    <row r="6" s="1" customFormat="1" ht="42.75" spans="1:25">
      <c r="A6" s="15">
        <v>3</v>
      </c>
      <c r="B6" s="15" t="s">
        <v>38</v>
      </c>
      <c r="C6" s="16" t="s">
        <v>39</v>
      </c>
      <c r="D6" s="16" t="s">
        <v>29</v>
      </c>
      <c r="E6" s="16" t="s">
        <v>40</v>
      </c>
      <c r="F6" s="22">
        <v>0.223</v>
      </c>
      <c r="G6" s="25">
        <v>5173870551</v>
      </c>
      <c r="H6" s="24">
        <v>43097</v>
      </c>
      <c r="I6" s="24"/>
      <c r="J6" s="24"/>
      <c r="K6" s="23">
        <v>0.25</v>
      </c>
      <c r="L6" s="37">
        <v>332555</v>
      </c>
      <c r="M6" s="37">
        <f>IF(L6&lt;(F6*1000000),L6,(F6*1000000))</f>
        <v>223000</v>
      </c>
      <c r="N6" s="37">
        <f>ROUND(IF(M6=0,0,M6*(1-(IF(YEAR(H6)=2014,9%,IF(YEAR(H6)=2015,8%,IF(YEAR(H6)=2016,7%,IF(YEAR(H6)=2017,6%,IF(YEAR(H6)=2018,5%,0)))))))),0)</f>
        <v>209620</v>
      </c>
      <c r="O6" s="44"/>
      <c r="P6" s="37">
        <f>ROUND(K6*(N6-O6),0)</f>
        <v>52405</v>
      </c>
      <c r="Q6" s="37">
        <v>274280</v>
      </c>
      <c r="R6" s="49">
        <f>IF(YEAR(H6)=2014,9%,IF(YEAR(H6)=2015,8%,IF(YEAR(H6)=2016,7%,IF(YEAR(H6)=2017,6%,IF(YEAR(H6)=2018,5%)))))</f>
        <v>0.06</v>
      </c>
      <c r="S6" s="37">
        <f>ROUND(((MIN(F6*1000000,Q6))*(1-R6)),0)</f>
        <v>209620</v>
      </c>
      <c r="T6" s="37">
        <f>ROUND(S6*K6,0)</f>
        <v>52405</v>
      </c>
      <c r="U6" s="37">
        <f>T6-P6</f>
        <v>0</v>
      </c>
      <c r="V6" s="23" t="s">
        <v>31</v>
      </c>
      <c r="W6" s="23" t="s">
        <v>37</v>
      </c>
      <c r="X6" s="23" t="s">
        <v>33</v>
      </c>
      <c r="Y6" s="52"/>
    </row>
    <row r="7" s="1" customFormat="1" ht="28.5" spans="1:25">
      <c r="A7" s="15">
        <v>4</v>
      </c>
      <c r="B7" s="15" t="s">
        <v>41</v>
      </c>
      <c r="C7" s="17" t="s">
        <v>42</v>
      </c>
      <c r="D7" s="17" t="s">
        <v>42</v>
      </c>
      <c r="E7" s="17" t="s">
        <v>43</v>
      </c>
      <c r="F7" s="26">
        <v>0.0054</v>
      </c>
      <c r="G7" s="23">
        <v>8370410131</v>
      </c>
      <c r="H7" s="27">
        <v>43055</v>
      </c>
      <c r="I7" s="27"/>
      <c r="J7" s="27"/>
      <c r="K7" s="38">
        <v>0.25</v>
      </c>
      <c r="L7" s="39">
        <v>5004</v>
      </c>
      <c r="M7" s="37">
        <f>IF(L7&lt;(F7*1000000),L7,(F7*1000000))</f>
        <v>5004</v>
      </c>
      <c r="N7" s="37">
        <f>ROUND(IF(M7=0,0,M7*(1-(IF(YEAR(H7)=2014,9%,IF(YEAR(H7)=2015,8%,IF(YEAR(H7)=2016,7%,IF(YEAR(H7)=2017,6%,IF(YEAR(H7)=2018,5%,0)))))))),0)</f>
        <v>4704</v>
      </c>
      <c r="O7" s="45"/>
      <c r="P7" s="37">
        <f>ROUND(K7*(N7-O7),0)</f>
        <v>1176</v>
      </c>
      <c r="Q7" s="39">
        <v>2525</v>
      </c>
      <c r="R7" s="49">
        <f>IF(YEAR(H7)=2014,9%,IF(YEAR(H7)=2015,8%,IF(YEAR(H7)=2016,7%,IF(YEAR(H7)=2017,6%,IF(YEAR(H7)=2018,5%)))))</f>
        <v>0.06</v>
      </c>
      <c r="S7" s="37">
        <f>ROUND(((MIN(F7*1000000,Q7))*(1-R7)),0)</f>
        <v>2374</v>
      </c>
      <c r="T7" s="37">
        <f>ROUND(S7*K7,0)</f>
        <v>594</v>
      </c>
      <c r="U7" s="37">
        <f>T7-P7</f>
        <v>-582</v>
      </c>
      <c r="V7" s="23" t="s">
        <v>44</v>
      </c>
      <c r="W7" s="23" t="s">
        <v>37</v>
      </c>
      <c r="X7" s="23" t="s">
        <v>45</v>
      </c>
      <c r="Y7" s="53"/>
    </row>
    <row r="8" s="1" customFormat="1" ht="28.5" spans="1:25">
      <c r="A8" s="15">
        <v>5</v>
      </c>
      <c r="B8" s="15" t="s">
        <v>46</v>
      </c>
      <c r="C8" s="17" t="s">
        <v>47</v>
      </c>
      <c r="D8" s="17" t="s">
        <v>47</v>
      </c>
      <c r="E8" s="17" t="s">
        <v>48</v>
      </c>
      <c r="F8" s="26">
        <v>0.0053</v>
      </c>
      <c r="G8" s="23">
        <v>8370410131</v>
      </c>
      <c r="H8" s="27">
        <v>43049</v>
      </c>
      <c r="I8" s="27"/>
      <c r="J8" s="27"/>
      <c r="K8" s="38">
        <v>0.25</v>
      </c>
      <c r="L8" s="39">
        <v>5004</v>
      </c>
      <c r="M8" s="37">
        <f>IF(L8&lt;(F8*1000000),L8,(F8*1000000))</f>
        <v>5004</v>
      </c>
      <c r="N8" s="37">
        <f>ROUND(IF(M8=0,0,M8*(1-(IF(YEAR(H8)=2014,9%,IF(YEAR(H8)=2015,8%,IF(YEAR(H8)=2016,7%,IF(YEAR(H8)=2017,6%,IF(YEAR(H8)=2018,5%,0)))))))),0)</f>
        <v>4704</v>
      </c>
      <c r="O8" s="45"/>
      <c r="P8" s="37">
        <f>ROUND(K8*(N8-O8),0)</f>
        <v>1176</v>
      </c>
      <c r="Q8" s="39">
        <v>2479</v>
      </c>
      <c r="R8" s="49">
        <f>IF(YEAR(H8)=2014,9%,IF(YEAR(H8)=2015,8%,IF(YEAR(H8)=2016,7%,IF(YEAR(H8)=2017,6%,IF(YEAR(H8)=2018,5%)))))</f>
        <v>0.06</v>
      </c>
      <c r="S8" s="37">
        <f>ROUND(((MIN(F8*1000000,Q8))*(1-R8)),0)</f>
        <v>2330</v>
      </c>
      <c r="T8" s="37">
        <f>ROUND(S8*K8,0)</f>
        <v>583</v>
      </c>
      <c r="U8" s="37">
        <f>T8-P8</f>
        <v>-593</v>
      </c>
      <c r="V8" s="38" t="s">
        <v>44</v>
      </c>
      <c r="W8" s="38" t="s">
        <v>37</v>
      </c>
      <c r="X8" s="38" t="s">
        <v>45</v>
      </c>
      <c r="Y8" s="53"/>
    </row>
    <row r="9" s="1" customFormat="1" ht="28.5" spans="1:25">
      <c r="A9" s="15">
        <v>6</v>
      </c>
      <c r="B9" s="15" t="s">
        <v>49</v>
      </c>
      <c r="C9" s="17" t="s">
        <v>50</v>
      </c>
      <c r="D9" s="17" t="s">
        <v>50</v>
      </c>
      <c r="E9" s="17" t="s">
        <v>51</v>
      </c>
      <c r="F9" s="26">
        <v>0.0285</v>
      </c>
      <c r="G9" s="23">
        <v>8370449724</v>
      </c>
      <c r="H9" s="27">
        <v>43098</v>
      </c>
      <c r="I9" s="27"/>
      <c r="J9" s="27"/>
      <c r="K9" s="38">
        <v>0.25</v>
      </c>
      <c r="L9" s="39">
        <v>27485</v>
      </c>
      <c r="M9" s="37">
        <f>IF(L9&lt;(F9*1000000),L9,(F9*1000000))</f>
        <v>27485</v>
      </c>
      <c r="N9" s="37">
        <f>ROUND(IF(M9=0,0,M9*(1-(IF(YEAR(H9)=2014,9%,IF(YEAR(H9)=2015,8%,IF(YEAR(H9)=2016,7%,IF(YEAR(H9)=2017,6%,IF(YEAR(H9)=2018,5%,0)))))))),0)</f>
        <v>25836</v>
      </c>
      <c r="O9" s="45"/>
      <c r="P9" s="37">
        <f>ROUND(K9*(N9-O9),0)</f>
        <v>6459</v>
      </c>
      <c r="Q9" s="39">
        <f>ROUND(27485/2,0)</f>
        <v>13743</v>
      </c>
      <c r="R9" s="49">
        <f>IF(YEAR(H9)=2014,9%,IF(YEAR(H9)=2015,8%,IF(YEAR(H9)=2016,7%,IF(YEAR(H9)=2017,6%,IF(YEAR(H9)=2018,5%)))))</f>
        <v>0.06</v>
      </c>
      <c r="S9" s="37">
        <f>ROUND(((MIN(F9*1000000,Q9))*(1-R9)),0)</f>
        <v>12918</v>
      </c>
      <c r="T9" s="37">
        <f>ROUND(S9*K9,0)</f>
        <v>3230</v>
      </c>
      <c r="U9" s="37">
        <f>T9-P9</f>
        <v>-3229</v>
      </c>
      <c r="V9" s="23" t="s">
        <v>44</v>
      </c>
      <c r="W9" s="23" t="s">
        <v>37</v>
      </c>
      <c r="X9" s="23" t="s">
        <v>45</v>
      </c>
      <c r="Y9" s="54"/>
    </row>
    <row r="10" s="1" customFormat="1" ht="28.5" spans="1:25">
      <c r="A10" s="15">
        <v>7</v>
      </c>
      <c r="B10" s="15" t="s">
        <v>52</v>
      </c>
      <c r="C10" s="17" t="s">
        <v>50</v>
      </c>
      <c r="D10" s="17" t="s">
        <v>50</v>
      </c>
      <c r="E10" s="17" t="s">
        <v>53</v>
      </c>
      <c r="F10" s="26">
        <v>0.0285</v>
      </c>
      <c r="G10" s="23">
        <v>8370449724</v>
      </c>
      <c r="H10" s="27">
        <v>43098</v>
      </c>
      <c r="I10" s="27"/>
      <c r="J10" s="27"/>
      <c r="K10" s="38">
        <v>0.25</v>
      </c>
      <c r="L10" s="39">
        <v>27485</v>
      </c>
      <c r="M10" s="37">
        <f>IF(L10&lt;(F10*1000000),L10,(F10*1000000))</f>
        <v>27485</v>
      </c>
      <c r="N10" s="37">
        <f>ROUND(IF(M10=0,0,M10*(1-(IF(YEAR(H10)=2014,9%,IF(YEAR(H10)=2015,8%,IF(YEAR(H10)=2016,7%,IF(YEAR(H10)=2017,6%,IF(YEAR(H10)=2018,5%,0)))))))),0)</f>
        <v>25836</v>
      </c>
      <c r="O10" s="45"/>
      <c r="P10" s="37">
        <f>ROUND(K10*(N10-O10),0)</f>
        <v>6459</v>
      </c>
      <c r="Q10" s="39">
        <f>ROUND(27485/2,0)</f>
        <v>13743</v>
      </c>
      <c r="R10" s="49">
        <f>IF(YEAR(H10)=2014,9%,IF(YEAR(H10)=2015,8%,IF(YEAR(H10)=2016,7%,IF(YEAR(H10)=2017,6%,IF(YEAR(H10)=2018,5%)))))</f>
        <v>0.06</v>
      </c>
      <c r="S10" s="37">
        <f>ROUND(((MIN(F10*1000000,Q10))*(1-R10)),0)</f>
        <v>12918</v>
      </c>
      <c r="T10" s="37">
        <f>ROUND(S10*K10,0)</f>
        <v>3230</v>
      </c>
      <c r="U10" s="37">
        <f>T10-P10</f>
        <v>-3229</v>
      </c>
      <c r="V10" s="38" t="s">
        <v>44</v>
      </c>
      <c r="W10" s="38" t="s">
        <v>37</v>
      </c>
      <c r="X10" s="38" t="s">
        <v>45</v>
      </c>
      <c r="Y10" s="54"/>
    </row>
    <row r="11" s="1" customFormat="1" ht="28.5" spans="1:25">
      <c r="A11" s="15">
        <v>8</v>
      </c>
      <c r="B11" s="15" t="s">
        <v>54</v>
      </c>
      <c r="C11" s="16" t="s">
        <v>55</v>
      </c>
      <c r="D11" s="16" t="s">
        <v>56</v>
      </c>
      <c r="E11" s="16" t="s">
        <v>57</v>
      </c>
      <c r="F11" s="22">
        <v>0.00741</v>
      </c>
      <c r="G11" s="23">
        <v>8370522131</v>
      </c>
      <c r="H11" s="24">
        <v>43089</v>
      </c>
      <c r="I11" s="24"/>
      <c r="J11" s="24"/>
      <c r="K11" s="23">
        <v>0.25</v>
      </c>
      <c r="L11" s="37">
        <v>6781</v>
      </c>
      <c r="M11" s="37">
        <f>IF(L11&lt;(F11*1000000),L11,(F11*1000000))</f>
        <v>6781</v>
      </c>
      <c r="N11" s="37">
        <f>ROUND(IF(M11=0,0,M11*(1-(IF(YEAR(H11)=2014,9%,IF(YEAR(H11)=2015,8%,IF(YEAR(H11)=2016,7%,IF(YEAR(H11)=2017,6%,IF(YEAR(H11)=2018,5%,0)))))))),0)</f>
        <v>6374</v>
      </c>
      <c r="O11" s="44"/>
      <c r="P11" s="37">
        <f>ROUND(K11*(N11-O11),0)</f>
        <v>1594</v>
      </c>
      <c r="Q11" s="37">
        <v>3587</v>
      </c>
      <c r="R11" s="49">
        <f>IF(YEAR(H11)=2014,9%,IF(YEAR(H11)=2015,8%,IF(YEAR(H11)=2016,7%,IF(YEAR(H11)=2017,6%,IF(YEAR(H11)=2018,5%)))))</f>
        <v>0.06</v>
      </c>
      <c r="S11" s="37">
        <f>ROUND(((MIN(F11*1000000,Q11))*(1-R11)),0)</f>
        <v>3372</v>
      </c>
      <c r="T11" s="37">
        <f>ROUND(S11*K11,0)</f>
        <v>843</v>
      </c>
      <c r="U11" s="37">
        <f>T11-P11</f>
        <v>-751</v>
      </c>
      <c r="V11" s="23" t="s">
        <v>44</v>
      </c>
      <c r="W11" s="23" t="s">
        <v>37</v>
      </c>
      <c r="X11" s="23" t="s">
        <v>45</v>
      </c>
      <c r="Y11" s="53"/>
    </row>
    <row r="12" s="1" customFormat="1" ht="28.5" spans="1:25">
      <c r="A12" s="15">
        <v>9</v>
      </c>
      <c r="B12" s="15" t="s">
        <v>58</v>
      </c>
      <c r="C12" s="17" t="s">
        <v>59</v>
      </c>
      <c r="D12" s="17" t="s">
        <v>59</v>
      </c>
      <c r="E12" s="17" t="s">
        <v>60</v>
      </c>
      <c r="F12" s="26">
        <v>0.0066</v>
      </c>
      <c r="G12" s="23">
        <v>8370522131</v>
      </c>
      <c r="H12" s="27">
        <v>43089</v>
      </c>
      <c r="I12" s="27"/>
      <c r="J12" s="27"/>
      <c r="K12" s="38">
        <v>0.25</v>
      </c>
      <c r="L12" s="39">
        <v>6781</v>
      </c>
      <c r="M12" s="37">
        <f>IF(L12&lt;(F12*1000000),L12,(F12*1000000))</f>
        <v>6600</v>
      </c>
      <c r="N12" s="37">
        <f>ROUND(IF(M12=0,0,M12*(1-(IF(YEAR(H12)=2014,9%,IF(YEAR(H12)=2015,8%,IF(YEAR(H12)=2016,7%,IF(YEAR(H12)=2017,6%,IF(YEAR(H12)=2018,5%,0)))))))),0)</f>
        <v>6204</v>
      </c>
      <c r="O12" s="45"/>
      <c r="P12" s="37">
        <f>ROUND(K12*(N12-O12),0)</f>
        <v>1551</v>
      </c>
      <c r="Q12" s="39">
        <v>3194</v>
      </c>
      <c r="R12" s="49">
        <f>IF(YEAR(H12)=2014,9%,IF(YEAR(H12)=2015,8%,IF(YEAR(H12)=2016,7%,IF(YEAR(H12)=2017,6%,IF(YEAR(H12)=2018,5%)))))</f>
        <v>0.06</v>
      </c>
      <c r="S12" s="37">
        <f>ROUND(((MIN(F12*1000000,Q12))*(1-R12)),0)</f>
        <v>3002</v>
      </c>
      <c r="T12" s="37">
        <f>ROUND(S12*K12,0)</f>
        <v>751</v>
      </c>
      <c r="U12" s="37">
        <f>T12-P12</f>
        <v>-800</v>
      </c>
      <c r="V12" s="38" t="s">
        <v>44</v>
      </c>
      <c r="W12" s="38" t="s">
        <v>37</v>
      </c>
      <c r="X12" s="38" t="s">
        <v>45</v>
      </c>
      <c r="Y12" s="53"/>
    </row>
    <row r="13" s="1" customFormat="1" ht="28.5" spans="1:25">
      <c r="A13" s="15">
        <v>10</v>
      </c>
      <c r="B13" s="15" t="s">
        <v>61</v>
      </c>
      <c r="C13" s="16" t="s">
        <v>62</v>
      </c>
      <c r="D13" s="16" t="s">
        <v>63</v>
      </c>
      <c r="E13" s="16" t="s">
        <v>64</v>
      </c>
      <c r="F13" s="22">
        <v>0.00741</v>
      </c>
      <c r="G13" s="23">
        <v>8370522173</v>
      </c>
      <c r="H13" s="24">
        <v>43094</v>
      </c>
      <c r="I13" s="24"/>
      <c r="J13" s="24"/>
      <c r="K13" s="23">
        <v>0.25</v>
      </c>
      <c r="L13" s="37">
        <v>6672</v>
      </c>
      <c r="M13" s="37">
        <f>IF(L13&lt;(F13*1000000),L13,(F13*1000000))</f>
        <v>6672</v>
      </c>
      <c r="N13" s="37">
        <f>ROUND(IF(M13=0,0,M13*(1-(IF(YEAR(H13)=2014,9%,IF(YEAR(H13)=2015,8%,IF(YEAR(H13)=2016,7%,IF(YEAR(H13)=2017,6%,IF(YEAR(H13)=2018,5%,0)))))))),0)</f>
        <v>6272</v>
      </c>
      <c r="O13" s="44"/>
      <c r="P13" s="37">
        <f>ROUND(K13*(N13-O13),0)</f>
        <v>1568</v>
      </c>
      <c r="Q13" s="37">
        <v>3529</v>
      </c>
      <c r="R13" s="49">
        <f>IF(YEAR(H13)=2014,9%,IF(YEAR(H13)=2015,8%,IF(YEAR(H13)=2016,7%,IF(YEAR(H13)=2017,6%,IF(YEAR(H13)=2018,5%)))))</f>
        <v>0.06</v>
      </c>
      <c r="S13" s="37">
        <f>ROUND(((MIN(F13*1000000,Q13))*(1-R13)),0)</f>
        <v>3317</v>
      </c>
      <c r="T13" s="37">
        <f>ROUND(S13*K13,0)</f>
        <v>829</v>
      </c>
      <c r="U13" s="37">
        <f>T13-P13</f>
        <v>-739</v>
      </c>
      <c r="V13" s="23" t="s">
        <v>44</v>
      </c>
      <c r="W13" s="23" t="s">
        <v>37</v>
      </c>
      <c r="X13" s="23" t="s">
        <v>45</v>
      </c>
      <c r="Y13" s="54"/>
    </row>
    <row r="14" s="1" customFormat="1" ht="28.5" spans="1:25">
      <c r="A14" s="15">
        <v>11</v>
      </c>
      <c r="B14" s="15" t="s">
        <v>65</v>
      </c>
      <c r="C14" s="17" t="s">
        <v>66</v>
      </c>
      <c r="D14" s="17" t="s">
        <v>66</v>
      </c>
      <c r="E14" s="17" t="s">
        <v>67</v>
      </c>
      <c r="F14" s="26">
        <v>0.0066</v>
      </c>
      <c r="G14" s="23">
        <v>8370522173</v>
      </c>
      <c r="H14" s="27">
        <v>43089</v>
      </c>
      <c r="I14" s="27"/>
      <c r="J14" s="27"/>
      <c r="K14" s="38">
        <v>0.25</v>
      </c>
      <c r="L14" s="39">
        <v>6672</v>
      </c>
      <c r="M14" s="37">
        <f>IF(L14&lt;(F14*1000000),L14,(F14*1000000))</f>
        <v>6600</v>
      </c>
      <c r="N14" s="37">
        <f>ROUND(IF(M14=0,0,M14*(1-(IF(YEAR(H14)=2014,9%,IF(YEAR(H14)=2015,8%,IF(YEAR(H14)=2016,7%,IF(YEAR(H14)=2017,6%,IF(YEAR(H14)=2018,5%,0)))))))),0)</f>
        <v>6204</v>
      </c>
      <c r="O14" s="45"/>
      <c r="P14" s="37">
        <f>ROUND(K14*(N14-O14),0)</f>
        <v>1551</v>
      </c>
      <c r="Q14" s="39">
        <v>3143</v>
      </c>
      <c r="R14" s="49">
        <f>IF(YEAR(H14)=2014,9%,IF(YEAR(H14)=2015,8%,IF(YEAR(H14)=2016,7%,IF(YEAR(H14)=2017,6%,IF(YEAR(H14)=2018,5%)))))</f>
        <v>0.06</v>
      </c>
      <c r="S14" s="37">
        <f>ROUND(((MIN(F14*1000000,Q14))*(1-R14)),0)</f>
        <v>2954</v>
      </c>
      <c r="T14" s="37">
        <f>ROUND(S14*K14,0)</f>
        <v>739</v>
      </c>
      <c r="U14" s="37">
        <f>T14-P14</f>
        <v>-812</v>
      </c>
      <c r="V14" s="38" t="s">
        <v>44</v>
      </c>
      <c r="W14" s="38" t="s">
        <v>37</v>
      </c>
      <c r="X14" s="38" t="s">
        <v>45</v>
      </c>
      <c r="Y14" s="54"/>
    </row>
    <row r="15" s="1" customFormat="1" ht="28.5" spans="1:25">
      <c r="A15" s="15">
        <v>12</v>
      </c>
      <c r="B15" s="15" t="s">
        <v>68</v>
      </c>
      <c r="C15" s="17" t="s">
        <v>69</v>
      </c>
      <c r="D15" s="17" t="s">
        <v>69</v>
      </c>
      <c r="E15" s="17" t="s">
        <v>70</v>
      </c>
      <c r="F15" s="26">
        <v>0.0054</v>
      </c>
      <c r="G15" s="23">
        <v>8370522971</v>
      </c>
      <c r="H15" s="27">
        <v>43089</v>
      </c>
      <c r="I15" s="27"/>
      <c r="J15" s="27"/>
      <c r="K15" s="38">
        <v>0.25</v>
      </c>
      <c r="L15" s="39">
        <v>6356</v>
      </c>
      <c r="M15" s="37">
        <f>IF(L15&lt;(F15*1000000),L15,(F15*1000000))</f>
        <v>5400</v>
      </c>
      <c r="N15" s="37">
        <f>ROUND(IF(M15=0,0,M15*(1-(IF(YEAR(H15)=2014,9%,IF(YEAR(H15)=2015,8%,IF(YEAR(H15)=2016,7%,IF(YEAR(H15)=2017,6%,IF(YEAR(H15)=2018,5%,0)))))))),0)</f>
        <v>5076</v>
      </c>
      <c r="O15" s="45"/>
      <c r="P15" s="37">
        <f>ROUND(K15*(N15-O15),0)</f>
        <v>1269</v>
      </c>
      <c r="Q15" s="39">
        <v>3178</v>
      </c>
      <c r="R15" s="49">
        <f>IF(YEAR(H15)=2014,9%,IF(YEAR(H15)=2015,8%,IF(YEAR(H15)=2016,7%,IF(YEAR(H15)=2017,6%,IF(YEAR(H15)=2018,5%)))))</f>
        <v>0.06</v>
      </c>
      <c r="S15" s="37">
        <f>ROUND(((MIN(F15*1000000,Q15))*(1-R15)),0)</f>
        <v>2987</v>
      </c>
      <c r="T15" s="37">
        <f>ROUND(S15*K15,0)</f>
        <v>747</v>
      </c>
      <c r="U15" s="37">
        <f>T15-P15</f>
        <v>-522</v>
      </c>
      <c r="V15" s="23" t="s">
        <v>44</v>
      </c>
      <c r="W15" s="23" t="s">
        <v>37</v>
      </c>
      <c r="X15" s="23" t="s">
        <v>45</v>
      </c>
      <c r="Y15" s="53"/>
    </row>
    <row r="16" s="1" customFormat="1" ht="28.5" spans="1:25">
      <c r="A16" s="15">
        <v>13</v>
      </c>
      <c r="B16" s="15" t="s">
        <v>71</v>
      </c>
      <c r="C16" s="17" t="s">
        <v>72</v>
      </c>
      <c r="D16" s="17" t="s">
        <v>72</v>
      </c>
      <c r="E16" s="17" t="s">
        <v>73</v>
      </c>
      <c r="F16" s="26">
        <v>0.0054</v>
      </c>
      <c r="G16" s="23">
        <v>8370522971</v>
      </c>
      <c r="H16" s="27">
        <v>43085</v>
      </c>
      <c r="I16" s="27"/>
      <c r="J16" s="27"/>
      <c r="K16" s="38">
        <v>0.25</v>
      </c>
      <c r="L16" s="39">
        <v>6356</v>
      </c>
      <c r="M16" s="37">
        <f>IF(L16&lt;(F16*1000000),L16,(F16*1000000))</f>
        <v>5400</v>
      </c>
      <c r="N16" s="37">
        <f>ROUND(IF(M16=0,0,M16*(1-(IF(YEAR(H16)=2014,9%,IF(YEAR(H16)=2015,8%,IF(YEAR(H16)=2016,7%,IF(YEAR(H16)=2017,6%,IF(YEAR(H16)=2018,5%,0)))))))),0)</f>
        <v>5076</v>
      </c>
      <c r="O16" s="45"/>
      <c r="P16" s="37">
        <f>ROUND(K16*(N16-O16),0)</f>
        <v>1269</v>
      </c>
      <c r="Q16" s="39">
        <v>3178</v>
      </c>
      <c r="R16" s="49">
        <f>IF(YEAR(H16)=2014,9%,IF(YEAR(H16)=2015,8%,IF(YEAR(H16)=2016,7%,IF(YEAR(H16)=2017,6%,IF(YEAR(H16)=2018,5%)))))</f>
        <v>0.06</v>
      </c>
      <c r="S16" s="37">
        <f>ROUND(((MIN(F16*1000000,Q16))*(1-R16)),0)</f>
        <v>2987</v>
      </c>
      <c r="T16" s="37">
        <f>ROUND(S16*K16,0)</f>
        <v>747</v>
      </c>
      <c r="U16" s="37">
        <f>T16-P16</f>
        <v>-522</v>
      </c>
      <c r="V16" s="38" t="s">
        <v>44</v>
      </c>
      <c r="W16" s="38" t="s">
        <v>37</v>
      </c>
      <c r="X16" s="38" t="s">
        <v>45</v>
      </c>
      <c r="Y16" s="53"/>
    </row>
    <row r="17" s="1" customFormat="1" ht="28.5" spans="1:25">
      <c r="A17" s="15">
        <v>14</v>
      </c>
      <c r="B17" s="15" t="s">
        <v>74</v>
      </c>
      <c r="C17" s="16" t="s">
        <v>75</v>
      </c>
      <c r="D17" s="16" t="s">
        <v>76</v>
      </c>
      <c r="E17" s="16" t="s">
        <v>77</v>
      </c>
      <c r="F17" s="22">
        <v>0.01425</v>
      </c>
      <c r="G17" s="23">
        <v>8370542029</v>
      </c>
      <c r="H17" s="24">
        <v>43094</v>
      </c>
      <c r="I17" s="24"/>
      <c r="J17" s="24"/>
      <c r="K17" s="23">
        <v>0.25</v>
      </c>
      <c r="L17" s="37">
        <v>14864</v>
      </c>
      <c r="M17" s="37">
        <f>IF(L17&lt;(F17*1000000),L17,(F17*1000000))</f>
        <v>14250</v>
      </c>
      <c r="N17" s="37">
        <f>ROUND(IF(M17=0,0,M17*(1-(IF(YEAR(H17)=2014,9%,IF(YEAR(H17)=2015,8%,IF(YEAR(H17)=2016,7%,IF(YEAR(H17)=2017,6%,IF(YEAR(H17)=2018,5%,0)))))))),0)</f>
        <v>13395</v>
      </c>
      <c r="O17" s="44"/>
      <c r="P17" s="37">
        <f>ROUND(K17*(N17-O17),0)</f>
        <v>3349</v>
      </c>
      <c r="Q17" s="37">
        <v>8008</v>
      </c>
      <c r="R17" s="49">
        <f>IF(YEAR(H17)=2014,9%,IF(YEAR(H17)=2015,8%,IF(YEAR(H17)=2016,7%,IF(YEAR(H17)=2017,6%,IF(YEAR(H17)=2018,5%)))))</f>
        <v>0.06</v>
      </c>
      <c r="S17" s="37">
        <f>ROUND(((MIN(F17*1000000,Q17))*(1-R17)),0)</f>
        <v>7528</v>
      </c>
      <c r="T17" s="37">
        <f>ROUND(S17*K17,0)</f>
        <v>1882</v>
      </c>
      <c r="U17" s="37">
        <f>T17-P17</f>
        <v>-1467</v>
      </c>
      <c r="V17" s="23" t="s">
        <v>44</v>
      </c>
      <c r="W17" s="23" t="s">
        <v>37</v>
      </c>
      <c r="X17" s="23" t="s">
        <v>45</v>
      </c>
      <c r="Y17" s="53"/>
    </row>
    <row r="18" s="1" customFormat="1" ht="28.5" spans="1:25">
      <c r="A18" s="15">
        <v>15</v>
      </c>
      <c r="B18" s="15" t="s">
        <v>78</v>
      </c>
      <c r="C18" s="17" t="s">
        <v>79</v>
      </c>
      <c r="D18" s="17" t="s">
        <v>79</v>
      </c>
      <c r="E18" s="17" t="s">
        <v>80</v>
      </c>
      <c r="F18" s="26">
        <v>0.0122</v>
      </c>
      <c r="G18" s="23">
        <v>8370542029</v>
      </c>
      <c r="H18" s="27">
        <v>43099</v>
      </c>
      <c r="I18" s="27"/>
      <c r="J18" s="27"/>
      <c r="K18" s="38">
        <v>0.25</v>
      </c>
      <c r="L18" s="39">
        <v>14864</v>
      </c>
      <c r="M18" s="37">
        <f>IF(L18&lt;(F18*1000000),L18,(F18*1000000))</f>
        <v>12200</v>
      </c>
      <c r="N18" s="37">
        <f>ROUND(IF(M18=0,0,M18*(1-(IF(YEAR(H18)=2014,9%,IF(YEAR(H18)=2015,8%,IF(YEAR(H18)=2016,7%,IF(YEAR(H18)=2017,6%,IF(YEAR(H18)=2018,5%,0)))))))),0)</f>
        <v>11468</v>
      </c>
      <c r="O18" s="45"/>
      <c r="P18" s="37">
        <f>ROUND(K18*(N18-O18),0)</f>
        <v>2867</v>
      </c>
      <c r="Q18" s="39">
        <v>6856</v>
      </c>
      <c r="R18" s="49">
        <f>IF(YEAR(H18)=2014,9%,IF(YEAR(H18)=2015,8%,IF(YEAR(H18)=2016,7%,IF(YEAR(H18)=2017,6%,IF(YEAR(H18)=2018,5%)))))</f>
        <v>0.06</v>
      </c>
      <c r="S18" s="37">
        <f>ROUND(((MIN(F18*1000000,Q18))*(1-R18)),0)</f>
        <v>6445</v>
      </c>
      <c r="T18" s="37">
        <f>ROUND(S18*K18,0)</f>
        <v>1611</v>
      </c>
      <c r="U18" s="37">
        <f>T18-P18</f>
        <v>-1256</v>
      </c>
      <c r="V18" s="38" t="s">
        <v>44</v>
      </c>
      <c r="W18" s="38" t="s">
        <v>37</v>
      </c>
      <c r="X18" s="38" t="s">
        <v>45</v>
      </c>
      <c r="Y18" s="53"/>
    </row>
    <row r="19" s="1" customFormat="1" ht="28.5" spans="1:25">
      <c r="A19" s="15">
        <v>16</v>
      </c>
      <c r="B19" s="15" t="s">
        <v>81</v>
      </c>
      <c r="C19" s="16" t="s">
        <v>82</v>
      </c>
      <c r="D19" s="16" t="s">
        <v>83</v>
      </c>
      <c r="E19" s="16" t="s">
        <v>84</v>
      </c>
      <c r="F19" s="22">
        <v>0.0075</v>
      </c>
      <c r="G19" s="23">
        <v>8370542188</v>
      </c>
      <c r="H19" s="24">
        <v>43094</v>
      </c>
      <c r="I19" s="24"/>
      <c r="J19" s="24"/>
      <c r="K19" s="23">
        <v>0.25</v>
      </c>
      <c r="L19" s="37">
        <v>8315</v>
      </c>
      <c r="M19" s="37">
        <f>IF(L19&lt;(F19*1000000),L19,(F19*1000000))</f>
        <v>7500</v>
      </c>
      <c r="N19" s="37">
        <f>ROUND(IF(M19=0,0,M19*(1-(IF(YEAR(H19)=2014,9%,IF(YEAR(H19)=2015,8%,IF(YEAR(H19)=2016,7%,IF(YEAR(H19)=2017,6%,IF(YEAR(H19)=2018,5%,0)))))))),0)</f>
        <v>7050</v>
      </c>
      <c r="O19" s="44"/>
      <c r="P19" s="37">
        <f>ROUND(K19*(N19-O19),0)</f>
        <v>1763</v>
      </c>
      <c r="Q19" s="37">
        <v>4423</v>
      </c>
      <c r="R19" s="49">
        <f>IF(YEAR(H19)=2014,9%,IF(YEAR(H19)=2015,8%,IF(YEAR(H19)=2016,7%,IF(YEAR(H19)=2017,6%,IF(YEAR(H19)=2018,5%)))))</f>
        <v>0.06</v>
      </c>
      <c r="S19" s="37">
        <f>ROUND(((MIN(F19*1000000,Q19))*(1-R19)),0)</f>
        <v>4158</v>
      </c>
      <c r="T19" s="37">
        <f>ROUND(S19*K19,0)</f>
        <v>1040</v>
      </c>
      <c r="U19" s="37">
        <f>T19-P19</f>
        <v>-723</v>
      </c>
      <c r="V19" s="23" t="s">
        <v>44</v>
      </c>
      <c r="W19" s="23" t="s">
        <v>37</v>
      </c>
      <c r="X19" s="23" t="s">
        <v>45</v>
      </c>
      <c r="Y19" s="54"/>
    </row>
    <row r="20" s="1" customFormat="1" ht="28.5" spans="1:25">
      <c r="A20" s="15">
        <v>17</v>
      </c>
      <c r="B20" s="15" t="s">
        <v>85</v>
      </c>
      <c r="C20" s="17" t="s">
        <v>86</v>
      </c>
      <c r="D20" s="17" t="s">
        <v>86</v>
      </c>
      <c r="E20" s="17" t="s">
        <v>87</v>
      </c>
      <c r="F20" s="26">
        <v>0.0066</v>
      </c>
      <c r="G20" s="23">
        <v>8370542188</v>
      </c>
      <c r="H20" s="27">
        <v>43100</v>
      </c>
      <c r="I20" s="27"/>
      <c r="J20" s="27"/>
      <c r="K20" s="38">
        <v>0.25</v>
      </c>
      <c r="L20" s="39">
        <v>8315</v>
      </c>
      <c r="M20" s="37">
        <f>IF(L20&lt;(F20*1000000),L20,(F20*1000000))</f>
        <v>6600</v>
      </c>
      <c r="N20" s="37">
        <f>ROUND(IF(M20=0,0,M20*(1-(IF(YEAR(H20)=2014,9%,IF(YEAR(H20)=2015,8%,IF(YEAR(H20)=2016,7%,IF(YEAR(H20)=2017,6%,IF(YEAR(H20)=2018,5%,0)))))))),0)</f>
        <v>6204</v>
      </c>
      <c r="O20" s="45"/>
      <c r="P20" s="37">
        <f>ROUND(K20*(N20-O20),0)</f>
        <v>1551</v>
      </c>
      <c r="Q20" s="39">
        <v>3892</v>
      </c>
      <c r="R20" s="49">
        <f>IF(YEAR(H20)=2014,9%,IF(YEAR(H20)=2015,8%,IF(YEAR(H20)=2016,7%,IF(YEAR(H20)=2017,6%,IF(YEAR(H20)=2018,5%)))))</f>
        <v>0.06</v>
      </c>
      <c r="S20" s="37">
        <f>ROUND(((MIN(F20*1000000,Q20))*(1-R20)),0)</f>
        <v>3658</v>
      </c>
      <c r="T20" s="37">
        <f>ROUND(S20*K20,0)</f>
        <v>915</v>
      </c>
      <c r="U20" s="37">
        <f>T20-P20</f>
        <v>-636</v>
      </c>
      <c r="V20" s="38" t="s">
        <v>44</v>
      </c>
      <c r="W20" s="38" t="s">
        <v>37</v>
      </c>
      <c r="X20" s="38" t="s">
        <v>45</v>
      </c>
      <c r="Y20" s="54"/>
    </row>
    <row r="21" s="1" customFormat="1" ht="28.5" spans="1:25">
      <c r="A21" s="15">
        <v>18</v>
      </c>
      <c r="B21" s="15" t="s">
        <v>88</v>
      </c>
      <c r="C21" s="16" t="s">
        <v>89</v>
      </c>
      <c r="D21" s="16" t="s">
        <v>89</v>
      </c>
      <c r="E21" s="16" t="s">
        <v>90</v>
      </c>
      <c r="F21" s="22">
        <v>0.012</v>
      </c>
      <c r="G21" s="23">
        <v>8374800107</v>
      </c>
      <c r="H21" s="24">
        <v>43096</v>
      </c>
      <c r="I21" s="24"/>
      <c r="J21" s="24"/>
      <c r="K21" s="23">
        <v>0.25</v>
      </c>
      <c r="L21" s="37">
        <v>4113</v>
      </c>
      <c r="M21" s="37">
        <f>IF(L21&lt;(F21*1000000),L21,(F21*1000000))</f>
        <v>4113</v>
      </c>
      <c r="N21" s="37">
        <f>ROUND(IF(M21=0,0,M21*(1-(IF(YEAR(H21)=2014,9%,IF(YEAR(H21)=2015,8%,IF(YEAR(H21)=2016,7%,IF(YEAR(H21)=2017,6%,IF(YEAR(H21)=2018,5%,0)))))))),0)</f>
        <v>3866</v>
      </c>
      <c r="O21" s="44"/>
      <c r="P21" s="37">
        <f>ROUND(K21*(N21-O21),0)</f>
        <v>967</v>
      </c>
      <c r="Q21" s="37">
        <v>2668</v>
      </c>
      <c r="R21" s="49">
        <f>IF(YEAR(H21)=2014,9%,IF(YEAR(H21)=2015,8%,IF(YEAR(H21)=2016,7%,IF(YEAR(H21)=2017,6%,IF(YEAR(H21)=2018,5%)))))</f>
        <v>0.06</v>
      </c>
      <c r="S21" s="37">
        <f>ROUND(((MIN(F21*1000000,Q21))*(1-R21)),0)</f>
        <v>2508</v>
      </c>
      <c r="T21" s="37">
        <f>ROUND(S21*K21,0)</f>
        <v>627</v>
      </c>
      <c r="U21" s="37">
        <f>T21-P21</f>
        <v>-340</v>
      </c>
      <c r="V21" s="23" t="s">
        <v>44</v>
      </c>
      <c r="W21" s="23" t="s">
        <v>37</v>
      </c>
      <c r="X21" s="23" t="s">
        <v>45</v>
      </c>
      <c r="Y21" s="54"/>
    </row>
    <row r="22" s="1" customFormat="1" ht="28.5" spans="1:25">
      <c r="A22" s="15">
        <v>19</v>
      </c>
      <c r="B22" s="15" t="s">
        <v>91</v>
      </c>
      <c r="C22" s="17" t="s">
        <v>89</v>
      </c>
      <c r="D22" s="17" t="s">
        <v>89</v>
      </c>
      <c r="E22" s="17" t="s">
        <v>92</v>
      </c>
      <c r="F22" s="26">
        <v>0.0065</v>
      </c>
      <c r="G22" s="23">
        <v>8374800107</v>
      </c>
      <c r="H22" s="27">
        <v>43277</v>
      </c>
      <c r="I22" s="27"/>
      <c r="J22" s="27"/>
      <c r="K22" s="38">
        <v>0.25</v>
      </c>
      <c r="L22" s="39">
        <v>4113</v>
      </c>
      <c r="M22" s="37">
        <f>IF(L22&lt;(F22*1000000),L22,(F22*1000000))</f>
        <v>4113</v>
      </c>
      <c r="N22" s="37">
        <f>ROUND(IF(M22=0,0,M22*(1-(IF(YEAR(H22)=2014,9%,IF(YEAR(H22)=2015,8%,IF(YEAR(H22)=2016,7%,IF(YEAR(H22)=2017,6%,IF(YEAR(H22)=2018,5%,0)))))))),0)</f>
        <v>3907</v>
      </c>
      <c r="O22" s="45"/>
      <c r="P22" s="37">
        <f>ROUND(K22*(N22-O22),0)</f>
        <v>977</v>
      </c>
      <c r="Q22" s="39">
        <v>1445</v>
      </c>
      <c r="R22" s="49">
        <f>IF(YEAR(H22)=2014,9%,IF(YEAR(H22)=2015,8%,IF(YEAR(H22)=2016,7%,IF(YEAR(H22)=2017,6%,IF(YEAR(H22)=2018,5%)))))</f>
        <v>0.05</v>
      </c>
      <c r="S22" s="37">
        <f>ROUND(((MIN(F22*1000000,Q22))*(1-R22)),0)</f>
        <v>1373</v>
      </c>
      <c r="T22" s="37">
        <f>ROUND(S22*K22,0)</f>
        <v>343</v>
      </c>
      <c r="U22" s="37">
        <f>T22-P22</f>
        <v>-634</v>
      </c>
      <c r="V22" s="38" t="s">
        <v>44</v>
      </c>
      <c r="W22" s="38" t="s">
        <v>93</v>
      </c>
      <c r="X22" s="38" t="s">
        <v>45</v>
      </c>
      <c r="Y22" s="54"/>
    </row>
    <row r="23" s="1" customFormat="1" ht="42.75" spans="1:25">
      <c r="A23" s="15">
        <v>20</v>
      </c>
      <c r="B23" s="15" t="s">
        <v>94</v>
      </c>
      <c r="C23" s="16" t="s">
        <v>95</v>
      </c>
      <c r="D23" s="16" t="s">
        <v>96</v>
      </c>
      <c r="E23" s="16" t="s">
        <v>97</v>
      </c>
      <c r="F23" s="22">
        <v>7.5</v>
      </c>
      <c r="G23" s="23">
        <v>9877081206</v>
      </c>
      <c r="H23" s="24">
        <v>42095</v>
      </c>
      <c r="I23" s="24"/>
      <c r="J23" s="24"/>
      <c r="K23" s="23">
        <v>0.25</v>
      </c>
      <c r="L23" s="37">
        <v>659400</v>
      </c>
      <c r="M23" s="37">
        <f>IF(L23&lt;(F23*1000000),L23,(F23*1000000))</f>
        <v>659400</v>
      </c>
      <c r="N23" s="37">
        <f>ROUND(IF(M23=0,0,M23*(1-(IF(YEAR(H23)=2014,9%,IF(YEAR(H23)=2015,8%,IF(YEAR(H23)=2016,7%,IF(YEAR(H23)=2017,6%,IF(YEAR(H23)=2018,5%,0)))))))),0)</f>
        <v>606648</v>
      </c>
      <c r="O23" s="44"/>
      <c r="P23" s="37">
        <f>ROUND(K23*(N23-O23),0)</f>
        <v>151662</v>
      </c>
      <c r="Q23" s="37">
        <v>6594000</v>
      </c>
      <c r="R23" s="49">
        <f>IF(YEAR(H23)=2014,9%,IF(YEAR(H23)=2015,8%,IF(YEAR(H23)=2016,7%,IF(YEAR(H23)=2017,6%,IF(YEAR(H23)=2018,5%)))))</f>
        <v>0.08</v>
      </c>
      <c r="S23" s="37">
        <f>ROUND(((MIN(F23*1000000,Q23))*(1-R23)),0)</f>
        <v>6066480</v>
      </c>
      <c r="T23" s="37">
        <f>ROUND(S23*K23,0)</f>
        <v>1516620</v>
      </c>
      <c r="U23" s="37">
        <f>T23-P23</f>
        <v>1364958</v>
      </c>
      <c r="V23" s="23" t="s">
        <v>31</v>
      </c>
      <c r="W23" s="23" t="s">
        <v>32</v>
      </c>
      <c r="X23" s="23" t="s">
        <v>33</v>
      </c>
      <c r="Y23" s="52"/>
    </row>
    <row r="24" s="1" customFormat="1" ht="42.75" spans="1:25">
      <c r="A24" s="15">
        <v>21</v>
      </c>
      <c r="B24" s="15" t="s">
        <v>98</v>
      </c>
      <c r="C24" s="16" t="s">
        <v>99</v>
      </c>
      <c r="D24" s="16" t="s">
        <v>99</v>
      </c>
      <c r="E24" s="16" t="s">
        <v>100</v>
      </c>
      <c r="F24" s="22">
        <v>1.5</v>
      </c>
      <c r="G24" s="59" t="s">
        <v>101</v>
      </c>
      <c r="H24" s="24">
        <v>42915</v>
      </c>
      <c r="I24" s="24"/>
      <c r="J24" s="24"/>
      <c r="K24" s="23">
        <v>0.25</v>
      </c>
      <c r="L24" s="39">
        <v>1141060</v>
      </c>
      <c r="M24" s="37">
        <f>IF(L24&lt;(F24*1000000),L24,(F24*1000000))</f>
        <v>1141060</v>
      </c>
      <c r="N24" s="37">
        <f>ROUND(IF(M24=0,0,M24*(1-(IF(YEAR(H24)=2014,9%,IF(YEAR(H24)=2015,8%,IF(YEAR(H24)=2016,7%,IF(YEAR(H24)=2017,6%,IF(YEAR(H24)=2018,5%,0)))))))),0)</f>
        <v>1072596</v>
      </c>
      <c r="O24" s="46"/>
      <c r="P24" s="37">
        <f>ROUND(K24*(N24-O24),0)</f>
        <v>268149</v>
      </c>
      <c r="Q24" s="39">
        <v>1141060</v>
      </c>
      <c r="R24" s="49">
        <f>IF(YEAR(H24)=2014,9%,IF(YEAR(H24)=2015,8%,IF(YEAR(H24)=2016,7%,IF(YEAR(H24)=2017,6%,IF(YEAR(H24)=2018,5%)))))</f>
        <v>0.06</v>
      </c>
      <c r="S24" s="37">
        <f>ROUND(((MIN(F24*1000000,Q24))*(1-R24)),0)</f>
        <v>1072596</v>
      </c>
      <c r="T24" s="37">
        <f>ROUND(S24*K24,0)</f>
        <v>268149</v>
      </c>
      <c r="U24" s="37">
        <f>T24-P24</f>
        <v>0</v>
      </c>
      <c r="V24" s="23" t="s">
        <v>102</v>
      </c>
      <c r="W24" s="23" t="s">
        <v>37</v>
      </c>
      <c r="X24" s="23" t="s">
        <v>33</v>
      </c>
      <c r="Y24" s="55"/>
    </row>
    <row r="25" s="1" customFormat="1" ht="28.5" spans="1:25">
      <c r="A25" s="15">
        <v>22</v>
      </c>
      <c r="B25" s="15" t="s">
        <v>103</v>
      </c>
      <c r="C25" s="16" t="s">
        <v>104</v>
      </c>
      <c r="D25" s="16" t="s">
        <v>105</v>
      </c>
      <c r="E25" s="16" t="s">
        <v>106</v>
      </c>
      <c r="F25" s="22">
        <v>20</v>
      </c>
      <c r="G25" s="59" t="s">
        <v>107</v>
      </c>
      <c r="H25" s="24">
        <v>43008</v>
      </c>
      <c r="I25" s="40">
        <v>72</v>
      </c>
      <c r="J25" s="24">
        <v>45198</v>
      </c>
      <c r="K25" s="38">
        <v>0.2</v>
      </c>
      <c r="L25" s="39">
        <v>27187630</v>
      </c>
      <c r="M25" s="37">
        <f>IF(L25&lt;(F25*1000000),L25,(F25*1000000))</f>
        <v>20000000</v>
      </c>
      <c r="N25" s="37">
        <f>ROUND(IF(M25=0,0,M25*(1-(IF(YEAR(H25)=2014,9%,IF(YEAR(H25)=2015,8%,IF(YEAR(H25)=2016,7%,IF(YEAR(H25)=2017,6%,IF(YEAR(H25)=2018,5%,0)))))))),0)</f>
        <v>18800000</v>
      </c>
      <c r="O25" s="47"/>
      <c r="P25" s="37">
        <f>ROUND(K25*(N25-O25),0)</f>
        <v>3760000</v>
      </c>
      <c r="Q25" s="39">
        <v>16606380</v>
      </c>
      <c r="R25" s="49">
        <f>IF(YEAR(H25)=2014,9%,IF(YEAR(H25)=2015,8%,IF(YEAR(H25)=2016,7%,IF(YEAR(H25)=2017,6%,IF(YEAR(H25)=2018,5%)))))</f>
        <v>0.06</v>
      </c>
      <c r="S25" s="37">
        <f>ROUND(((MIN(F25*1000000,Q25))*(1-R25)),0)</f>
        <v>15609997</v>
      </c>
      <c r="T25" s="37">
        <f>ROUND(S25*K25,0)</f>
        <v>3121999</v>
      </c>
      <c r="U25" s="37">
        <f>T25-P25</f>
        <v>-638001</v>
      </c>
      <c r="V25" s="38" t="s">
        <v>102</v>
      </c>
      <c r="W25" s="38" t="s">
        <v>37</v>
      </c>
      <c r="X25" s="38" t="s">
        <v>33</v>
      </c>
      <c r="Y25" s="56"/>
    </row>
    <row r="26" s="1" customFormat="1" ht="42.75" spans="1:25">
      <c r="A26" s="15">
        <v>23</v>
      </c>
      <c r="B26" s="15" t="s">
        <v>108</v>
      </c>
      <c r="C26" s="16" t="s">
        <v>109</v>
      </c>
      <c r="D26" s="16" t="s">
        <v>110</v>
      </c>
      <c r="E26" s="16" t="s">
        <v>111</v>
      </c>
      <c r="F26" s="26">
        <v>20</v>
      </c>
      <c r="G26" s="29" t="s">
        <v>112</v>
      </c>
      <c r="H26" s="27">
        <v>42548</v>
      </c>
      <c r="I26" s="24"/>
      <c r="J26" s="24"/>
      <c r="K26" s="23">
        <v>0.25</v>
      </c>
      <c r="L26" s="37">
        <v>23856030</v>
      </c>
      <c r="M26" s="37">
        <v>20000000</v>
      </c>
      <c r="N26" s="37">
        <v>18600000</v>
      </c>
      <c r="O26" s="48"/>
      <c r="P26" s="37">
        <f>ROUND(K26*(N26-O26),0)</f>
        <v>4650000</v>
      </c>
      <c r="Q26" s="50">
        <v>21352210</v>
      </c>
      <c r="R26" s="49">
        <f>IF(YEAR(H26)=2014,9%,IF(YEAR(H26)=2015,8%,IF(YEAR(H26)=2016,7%,IF(YEAR(H26)=2017,6%,IF(YEAR(H26)=2018,5%)))))</f>
        <v>0.07</v>
      </c>
      <c r="S26" s="37">
        <f>ROUND(((MIN(F26*1000000,Q26))*(1-R26)),0)</f>
        <v>18600000</v>
      </c>
      <c r="T26" s="37">
        <f>ROUND(S26*K26,0)</f>
        <v>4650000</v>
      </c>
      <c r="U26" s="37">
        <f>T26-P26</f>
        <v>0</v>
      </c>
      <c r="V26" s="38" t="s">
        <v>113</v>
      </c>
      <c r="W26" s="38" t="s">
        <v>32</v>
      </c>
      <c r="X26" s="38" t="s">
        <v>33</v>
      </c>
      <c r="Y26" s="52"/>
    </row>
    <row r="27" s="1" customFormat="1" ht="32" customHeight="1" spans="1:25">
      <c r="A27" s="15">
        <v>24</v>
      </c>
      <c r="B27" s="15" t="s">
        <v>114</v>
      </c>
      <c r="C27" s="16" t="s">
        <v>115</v>
      </c>
      <c r="D27" s="16" t="s">
        <v>115</v>
      </c>
      <c r="E27" s="16" t="s">
        <v>116</v>
      </c>
      <c r="F27" s="26">
        <v>0.0054</v>
      </c>
      <c r="G27" s="29">
        <v>9879194735</v>
      </c>
      <c r="H27" s="27">
        <v>43137</v>
      </c>
      <c r="I27" s="24"/>
      <c r="J27" s="24"/>
      <c r="K27" s="23">
        <v>0.25</v>
      </c>
      <c r="L27" s="37">
        <v>5006</v>
      </c>
      <c r="M27" s="37">
        <f>IF(L27&lt;(F27*1000000),L27,(F27*1000000))</f>
        <v>5006</v>
      </c>
      <c r="N27" s="37">
        <f>ROUND(IF(M27=0,0,M27*(1-(IF(YEAR(H27)=2014,9%,IF(YEAR(H27)=2015,8%,IF(YEAR(H27)=2016,7%,IF(YEAR(H27)=2017,6%,IF(YEAR(H27)=2018,5%,0)))))))),0)</f>
        <v>4756</v>
      </c>
      <c r="O27" s="48"/>
      <c r="P27" s="37">
        <f>ROUND(K27*(N27-O27),0)</f>
        <v>1189</v>
      </c>
      <c r="Q27" s="50">
        <v>2112</v>
      </c>
      <c r="R27" s="49">
        <f>IF(YEAR(H27)=2014,9%,IF(YEAR(H27)=2015,8%,IF(YEAR(H27)=2016,7%,IF(YEAR(H27)=2017,6%,IF(YEAR(H27)=2018,5%)))))</f>
        <v>0.05</v>
      </c>
      <c r="S27" s="37">
        <f>ROUND(((MIN(F27*1000000,Q27))*(1-R27)),0)</f>
        <v>2006</v>
      </c>
      <c r="T27" s="37">
        <f>ROUND(S27*K27,0)</f>
        <v>502</v>
      </c>
      <c r="U27" s="37">
        <f>T27-P27</f>
        <v>-687</v>
      </c>
      <c r="V27" s="38" t="s">
        <v>117</v>
      </c>
      <c r="W27" s="38" t="s">
        <v>93</v>
      </c>
      <c r="X27" s="38" t="s">
        <v>45</v>
      </c>
      <c r="Y27" s="57"/>
    </row>
    <row r="28" s="1" customFormat="1" ht="32" customHeight="1" spans="1:25">
      <c r="A28" s="15">
        <v>25</v>
      </c>
      <c r="B28" s="15" t="s">
        <v>118</v>
      </c>
      <c r="C28" s="16" t="s">
        <v>115</v>
      </c>
      <c r="D28" s="16" t="s">
        <v>115</v>
      </c>
      <c r="E28" s="16" t="s">
        <v>119</v>
      </c>
      <c r="F28" s="26">
        <v>0.0074</v>
      </c>
      <c r="G28" s="29">
        <v>9879194735</v>
      </c>
      <c r="H28" s="27">
        <v>43137</v>
      </c>
      <c r="I28" s="24"/>
      <c r="J28" s="24"/>
      <c r="K28" s="23">
        <v>0.25</v>
      </c>
      <c r="L28" s="37">
        <v>5006</v>
      </c>
      <c r="M28" s="37">
        <f>IF(L28&lt;(F28*1000000),L28,(F28*1000000))</f>
        <v>5006</v>
      </c>
      <c r="N28" s="37">
        <f>ROUND(IF(M28=0,0,M28*(1-(IF(YEAR(H28)=2014,9%,IF(YEAR(H28)=2015,8%,IF(YEAR(H28)=2016,7%,IF(YEAR(H28)=2017,6%,IF(YEAR(H28)=2018,5%,0)))))))),0)</f>
        <v>4756</v>
      </c>
      <c r="O28" s="48"/>
      <c r="P28" s="37">
        <f>ROUND(K28*(N28-O28),0)</f>
        <v>1189</v>
      </c>
      <c r="Q28" s="50">
        <v>2894</v>
      </c>
      <c r="R28" s="49">
        <f>IF(YEAR(H28)=2014,9%,IF(YEAR(H28)=2015,8%,IF(YEAR(H28)=2016,7%,IF(YEAR(H28)=2017,6%,IF(YEAR(H28)=2018,5%)))))</f>
        <v>0.05</v>
      </c>
      <c r="S28" s="37">
        <f>ROUND(((MIN(F28*1000000,Q28))*(1-R28)),0)</f>
        <v>2749</v>
      </c>
      <c r="T28" s="37">
        <f>ROUND(S28*K28,0)</f>
        <v>687</v>
      </c>
      <c r="U28" s="37">
        <f>T28-P28</f>
        <v>-502</v>
      </c>
      <c r="V28" s="38" t="s">
        <v>117</v>
      </c>
      <c r="W28" s="38" t="s">
        <v>93</v>
      </c>
      <c r="X28" s="38" t="s">
        <v>45</v>
      </c>
      <c r="Y28" s="57"/>
    </row>
    <row r="29" s="4" customFormat="1" ht="25" customHeight="1" spans="1:25">
      <c r="A29" s="18" t="s">
        <v>120</v>
      </c>
      <c r="B29" s="18"/>
      <c r="C29" s="18"/>
      <c r="D29" s="18"/>
      <c r="E29" s="18"/>
      <c r="F29" s="30"/>
      <c r="G29" s="31"/>
      <c r="H29" s="31"/>
      <c r="I29" s="31"/>
      <c r="J29" s="31"/>
      <c r="K29" s="31"/>
      <c r="L29" s="41">
        <f>SUM(L4:L28)</f>
        <v>53855584</v>
      </c>
      <c r="M29" s="41">
        <f>SUM(M4:M28)</f>
        <v>42304079</v>
      </c>
      <c r="N29" s="41">
        <f>SUM(N4:N28)</f>
        <v>39551588</v>
      </c>
      <c r="O29" s="18"/>
      <c r="P29" s="41">
        <f>SUM(P4:P28)</f>
        <v>8947899</v>
      </c>
      <c r="Q29" s="41">
        <f>SUM(Q4:Q28)</f>
        <v>46199383</v>
      </c>
      <c r="R29" s="41"/>
      <c r="S29" s="41">
        <f>SUM(S4:S28)</f>
        <v>41749313</v>
      </c>
      <c r="T29" s="41">
        <f>SUM(T4:T28)</f>
        <v>9656832</v>
      </c>
      <c r="U29" s="41">
        <f>SUM(U4:U28)</f>
        <v>708933</v>
      </c>
      <c r="V29" s="41"/>
      <c r="W29" s="41"/>
      <c r="X29" s="41"/>
      <c r="Y29" s="58"/>
    </row>
  </sheetData>
  <protectedRanges>
    <protectedRange sqref="Y9" name="区域3_4"/>
    <protectedRange sqref="Y13" name="区域3_4_1"/>
    <protectedRange sqref="Y19" name="区域3_4_2"/>
    <protectedRange sqref="Y21" name="区域3_4_3"/>
  </protectedRanges>
  <autoFilter xmlns:etc="http://www.wps.cn/officeDocument/2017/etCustomData" ref="A3:Z29" etc:filterBottomFollowUsedRange="0">
    <extLst/>
  </autoFilter>
  <mergeCells count="4">
    <mergeCell ref="A1:Y1"/>
    <mergeCell ref="A2:Y2"/>
    <mergeCell ref="A29:E29"/>
    <mergeCell ref="Y27:Y28"/>
  </mergeCells>
  <conditionalFormatting sqref="B26">
    <cfRule type="expression" dxfId="0" priority="13">
      <formula>AND(SUMPRODUCT(IFERROR(1*(($B$26&amp;"x")=(B26&amp;"x")),0))&gt;1,NOT(ISBLANK(B26)))</formula>
    </cfRule>
  </conditionalFormatting>
  <conditionalFormatting sqref="B27">
    <cfRule type="expression" dxfId="0" priority="10">
      <formula>AND(SUMPRODUCT(IFERROR(1*(($B$27&amp;"x")=(B27&amp;"x")),0))&gt;1,NOT(ISBLANK(B27)))</formula>
    </cfRule>
  </conditionalFormatting>
  <conditionalFormatting sqref="B28">
    <cfRule type="expression" dxfId="0" priority="9">
      <formula>AND(SUMPRODUCT(IFERROR(1*(($B$28&amp;"x")=(B28&amp;"x")),0))&gt;1,NOT(ISBLANK(B28)))</formula>
    </cfRule>
  </conditionalFormatting>
  <conditionalFormatting sqref="B3:B25">
    <cfRule type="expression" dxfId="0" priority="14">
      <formula>AND(SUMPRODUCT(IFERROR(1*(($B$3:$B$25&amp;"x")=(B3&amp;"x")),0))&gt;1,NOT(ISBLANK(B3)))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4" rangeCreator="" othersAccessPermission="edit"/>
    <arrUserId title="区域3_4_1" rangeCreator="" othersAccessPermission="edit"/>
    <arrUserId title="区域3_4_2" rangeCreator="" othersAccessPermission="edit"/>
    <arrUserId title="区域3_4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2023年核实发电量明细表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2025-07-18T00:09:00Z</dcterms:created>
  <dcterms:modified xsi:type="dcterms:W3CDTF">2025-12-15T15:28:50Z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8D6164CC716ACF7EAAB63F6954E208C3_43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